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55CDF71-AF21-4009-9D37-59E1A7404B24}" xr6:coauthVersionLast="37" xr6:coauthVersionMax="37" xr10:uidLastSave="{00000000-0000-0000-0000-000000000000}"/>
  <bookViews>
    <workbookView xWindow="0" yWindow="0" windowWidth="28800" windowHeight="11805" activeTab="1" xr2:uid="{00000000-000D-0000-FFFF-FFFF00000000}"/>
  </bookViews>
  <sheets>
    <sheet name="Хизмат сафари" sheetId="7" r:id="rId1"/>
    <sheet name="мансабдор шахслар хизмат сафари" sheetId="8" r:id="rId2"/>
  </sheets>
  <calcPr calcId="179021" refMode="R1C1"/>
</workbook>
</file>

<file path=xl/calcChain.xml><?xml version="1.0" encoding="utf-8"?>
<calcChain xmlns="http://schemas.openxmlformats.org/spreadsheetml/2006/main">
  <c r="G14" i="7" l="1"/>
  <c r="E14" i="7"/>
  <c r="F14" i="7"/>
  <c r="C14" i="7"/>
  <c r="F16" i="7"/>
  <c r="C16" i="7" l="1"/>
  <c r="G16" i="7" l="1"/>
  <c r="E16" i="7"/>
  <c r="F15" i="7" l="1"/>
  <c r="I8" i="7"/>
  <c r="H7" i="7" l="1"/>
  <c r="G7" i="7"/>
  <c r="F7" i="7"/>
  <c r="E7" i="7"/>
  <c r="G8" i="8"/>
  <c r="K9" i="8"/>
  <c r="J9" i="8"/>
  <c r="I9" i="8"/>
  <c r="G9" i="8"/>
  <c r="K19" i="8"/>
  <c r="J19" i="8"/>
  <c r="I19" i="8"/>
  <c r="G19" i="8"/>
  <c r="K52" i="8"/>
  <c r="I52" i="8"/>
  <c r="K51" i="8"/>
  <c r="I51" i="8"/>
  <c r="K50" i="8"/>
  <c r="K49" i="8"/>
  <c r="K40" i="8"/>
  <c r="I40" i="8"/>
  <c r="K39" i="8"/>
  <c r="K38" i="8"/>
  <c r="I38" i="8"/>
  <c r="K37" i="8"/>
  <c r="I37" i="8"/>
  <c r="K36" i="8"/>
  <c r="I36" i="8"/>
  <c r="I35" i="8"/>
  <c r="K35" i="8"/>
  <c r="K34" i="8"/>
  <c r="I34" i="8"/>
  <c r="K33" i="8"/>
  <c r="K32" i="8"/>
  <c r="I32" i="8"/>
  <c r="K18" i="8"/>
  <c r="K17" i="8"/>
  <c r="I17" i="8"/>
  <c r="K16" i="8"/>
  <c r="K15" i="8"/>
  <c r="K14" i="8"/>
  <c r="I16" i="7" l="1"/>
  <c r="I15" i="7" l="1"/>
  <c r="I14" i="7"/>
  <c r="I7" i="7" l="1"/>
  <c r="H12" i="7"/>
  <c r="I12" i="7"/>
  <c r="G13" i="7" l="1"/>
  <c r="F13" i="7"/>
  <c r="E13" i="7"/>
  <c r="C13" i="7"/>
  <c r="K30" i="8"/>
  <c r="G12" i="7"/>
  <c r="F12" i="7"/>
  <c r="E12" i="7"/>
  <c r="C12" i="7"/>
  <c r="K29" i="8"/>
  <c r="K23" i="8"/>
  <c r="K25" i="8"/>
  <c r="K28" i="8"/>
  <c r="K31" i="8"/>
  <c r="K42" i="8"/>
  <c r="K47" i="8"/>
  <c r="K12" i="8"/>
  <c r="K13" i="8"/>
  <c r="K10" i="8"/>
  <c r="G48" i="8"/>
  <c r="K48" i="8" s="1"/>
  <c r="I48" i="8"/>
  <c r="I46" i="8"/>
  <c r="K46" i="8" s="1"/>
  <c r="I13" i="8"/>
  <c r="I45" i="8" l="1"/>
  <c r="K45" i="8" s="1"/>
  <c r="I44" i="8"/>
  <c r="K44" i="8" s="1"/>
  <c r="I53" i="8"/>
  <c r="K53" i="8" s="1"/>
  <c r="I27" i="8"/>
  <c r="K27" i="8" s="1"/>
  <c r="I26" i="8"/>
  <c r="K26" i="8" s="1"/>
  <c r="C7" i="7"/>
  <c r="E8" i="7" l="1"/>
  <c r="I13" i="7"/>
  <c r="I11" i="7"/>
  <c r="G8" i="7" l="1"/>
  <c r="F10" i="7"/>
  <c r="E10" i="7"/>
  <c r="I43" i="8" l="1"/>
  <c r="K43" i="8" s="1"/>
  <c r="I41" i="8"/>
  <c r="K41" i="8" s="1"/>
  <c r="I24" i="8"/>
  <c r="K24" i="8" s="1"/>
  <c r="I22" i="8"/>
  <c r="K22" i="8" s="1"/>
  <c r="I21" i="8"/>
  <c r="K21" i="8" s="1"/>
  <c r="I20" i="8"/>
  <c r="I11" i="8"/>
  <c r="K11" i="8" s="1"/>
  <c r="K20" i="8" l="1"/>
  <c r="K57" i="8" l="1"/>
  <c r="K56" i="8"/>
  <c r="K55" i="8"/>
  <c r="K54" i="8"/>
  <c r="H19" i="8" l="1"/>
  <c r="K8" i="8" l="1"/>
  <c r="I9" i="7" l="1"/>
  <c r="I8" i="8" l="1"/>
  <c r="H9" i="8"/>
  <c r="J8" i="8" l="1"/>
  <c r="I10" i="7" l="1"/>
  <c r="H8" i="8" l="1"/>
</calcChain>
</file>

<file path=xl/sharedStrings.xml><?xml version="1.0" encoding="utf-8"?>
<sst xmlns="http://schemas.openxmlformats.org/spreadsheetml/2006/main" count="141" uniqueCount="100">
  <si>
    <t>№</t>
  </si>
  <si>
    <t>ой</t>
  </si>
  <si>
    <t>хизмат сафарининг мақсади</t>
  </si>
  <si>
    <t>кундалик харажатларини қоплаш</t>
  </si>
  <si>
    <t>йўл кира харажатларини қоплаш</t>
  </si>
  <si>
    <t>турар жой ижараси</t>
  </si>
  <si>
    <t>бюджет маблағлари ҳисобидан</t>
  </si>
  <si>
    <t>бюджетдан ташқари маблағлар ҳисобидан</t>
  </si>
  <si>
    <t>январь</t>
  </si>
  <si>
    <t>февраль</t>
  </si>
  <si>
    <t>март</t>
  </si>
  <si>
    <t>хизмат сафарининг сони</t>
  </si>
  <si>
    <t>Ҳукумат топшириқларининг ижросини таъминлаш</t>
  </si>
  <si>
    <t>ЖАМИ</t>
  </si>
  <si>
    <t>сўм</t>
  </si>
  <si>
    <t>Ф.И.О</t>
  </si>
  <si>
    <t>эгаллаб турган лавозими</t>
  </si>
  <si>
    <t>Хизмат сафари буйруғи рақами</t>
  </si>
  <si>
    <t>Хизмат сафари манзили</t>
  </si>
  <si>
    <t>Хизмат сафари даври
(кун)</t>
  </si>
  <si>
    <t>яшаш харажатлари</t>
  </si>
  <si>
    <t>Транспорт харажатлари</t>
  </si>
  <si>
    <t>кунлик харажатлар</t>
  </si>
  <si>
    <t>Жами харажатлар</t>
  </si>
  <si>
    <t>ўз маблағлари ҳисобидан</t>
  </si>
  <si>
    <t>ташкилот маблағлари ҳисобидан</t>
  </si>
  <si>
    <t>ҲАММАСИ</t>
  </si>
  <si>
    <t>Ортиков А.Ж.</t>
  </si>
  <si>
    <t>директор</t>
  </si>
  <si>
    <t>Андижон вилоятига</t>
  </si>
  <si>
    <t>Кашкадарё вилоятига</t>
  </si>
  <si>
    <t>Миралиев А.Э.</t>
  </si>
  <si>
    <t>Хоразм вилоятига</t>
  </si>
  <si>
    <t>Сурхандаре вилоятига</t>
  </si>
  <si>
    <t xml:space="preserve">директор ўринбосари </t>
  </si>
  <si>
    <t>Қорақалпоғистон Республикасига</t>
  </si>
  <si>
    <t>Кадиров М.У.</t>
  </si>
  <si>
    <t>Хусанов Н.Д.</t>
  </si>
  <si>
    <t>директорнинг биринчи ўринбосари</t>
  </si>
  <si>
    <t>12.02.24 йилдаги №20-хс-сон</t>
  </si>
  <si>
    <t>26.02.24 йилдаги №23-хс-сон</t>
  </si>
  <si>
    <t>15.01.24 йилдаги №03-хс-сон</t>
  </si>
  <si>
    <t>23.01.24 йилдаги № 07-хс-сон</t>
  </si>
  <si>
    <t>02.02.24 йилдаги № 11-хс-сон</t>
  </si>
  <si>
    <t>Сирдаре вилоятига</t>
  </si>
  <si>
    <t>19.02.24 йилдаги № 22-хс-сон</t>
  </si>
  <si>
    <t>05.02.24 йилдаги № 13-хс-сон</t>
  </si>
  <si>
    <t>12.02.24 йилдаги № 19-хс-сон</t>
  </si>
  <si>
    <t>18.03.24 йилдаги № 35-хс-сон</t>
  </si>
  <si>
    <t>апрель</t>
  </si>
  <si>
    <t>май</t>
  </si>
  <si>
    <t>июнь</t>
  </si>
  <si>
    <t>05.04.24 йилдаги №47-хс-сон</t>
  </si>
  <si>
    <t>Жиззах вилоятига</t>
  </si>
  <si>
    <t>28.05.24 йилдаги №65-хс-сон</t>
  </si>
  <si>
    <t>Бухоро вилоятига</t>
  </si>
  <si>
    <t>14.03.24 йилдаги № 33-хс-сон</t>
  </si>
  <si>
    <t>Сирдарё вилоятига</t>
  </si>
  <si>
    <t>28.03.24 йилдаги № 43-хс-сон</t>
  </si>
  <si>
    <t>Навоий вилоятига</t>
  </si>
  <si>
    <t>03.04.24 йилдаги № 45-хс-сон</t>
  </si>
  <si>
    <t>18.04.24 йилдаги № 52-хс-сон</t>
  </si>
  <si>
    <t>22.04.24 йилдаги № 53-хс-сон</t>
  </si>
  <si>
    <t>13.03.24 йилдаги № 31-хс-сон</t>
  </si>
  <si>
    <t>07.03.24 йилдаги № 27-хс-сон</t>
  </si>
  <si>
    <t>Наманган вилоятига</t>
  </si>
  <si>
    <t>23.03.24 йилдаги № 40-хс-сон</t>
  </si>
  <si>
    <t>29.04.24 йилдаги № 55-хс-сон</t>
  </si>
  <si>
    <t>01.06.24 йилдаги №68-хс-сон</t>
  </si>
  <si>
    <t>Туркия</t>
  </si>
  <si>
    <t>17.05.24 йилдаги № 61-хс-сон</t>
  </si>
  <si>
    <t>Швейцария</t>
  </si>
  <si>
    <t>Туркманистон</t>
  </si>
  <si>
    <t>22.05.24 йилдаги № 64-хс-сон</t>
  </si>
  <si>
    <t>01.06.24 йилдаги № 68-хс-сон</t>
  </si>
  <si>
    <t>июль</t>
  </si>
  <si>
    <t>август</t>
  </si>
  <si>
    <t>сентябрь</t>
  </si>
  <si>
    <t>Фаргона вилоятига</t>
  </si>
  <si>
    <t>09.07.24 йилдаги №86-хс-сон</t>
  </si>
  <si>
    <t>25.07.24 йилдаги №97-хс-сон</t>
  </si>
  <si>
    <t>16.08.24 йилдаги №108-хс-сон</t>
  </si>
  <si>
    <t>06.09.24 йилдаги №112-хс-сон</t>
  </si>
  <si>
    <t>05.07.24 йилдаги № 84-хс-сон</t>
  </si>
  <si>
    <t>15.07.24 йилдаги № 90-хс-сон</t>
  </si>
  <si>
    <t>24.07.24 йилдаги № 96-хс-сон</t>
  </si>
  <si>
    <t>Самарканд вилоятига</t>
  </si>
  <si>
    <t>05.08.24 йилдаги № 307-сон</t>
  </si>
  <si>
    <t>07.08.24 йилдаги № 103-хс-сон</t>
  </si>
  <si>
    <t>13.08.24 йилдаги № 106-хс-сон</t>
  </si>
  <si>
    <t>13.09.24 йилдаги № 114-хс-сон</t>
  </si>
  <si>
    <t>13.09.24 йилдаги № 116-хс-сон</t>
  </si>
  <si>
    <t>23.09.24 йилдаги № 121-хс-сон</t>
  </si>
  <si>
    <t>04.07.24 йилдаги № 83-хс-сон</t>
  </si>
  <si>
    <t>18.07.24 йилдаги № 91-хс-сон</t>
  </si>
  <si>
    <t>Фергана, Андижан, Наманган вилоятига</t>
  </si>
  <si>
    <t>22.07.24 йилдаги № 93-хс-сон</t>
  </si>
  <si>
    <t>30.07.24 йилдаги № 98-хс-сон</t>
  </si>
  <si>
    <t>Ўзбекистон Республикаси Давлат активларини бошқариш агентлиги мансабдор шахсларини 2024 йил январь-сентябрь ойларидаги хизмат сафари харажатлари тўғрисида
МАЪЛУМОТ</t>
  </si>
  <si>
    <t>Ўзбекистон Республикаси Давлат активларини бошқариш агентлиги ходимларининг 2024 йилнинг январь-сентябрь ойлари давомида хизмат сафари харажатлари тўғрисида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</si>
</sst>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164" fontId="8" fillId="0" borderId="0" xfId="1" applyFont="1"/>
    <xf numFmtId="164" fontId="3" fillId="0" borderId="0" xfId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0" fillId="0" borderId="0" xfId="0" applyNumberFormat="1" applyFont="1"/>
    <xf numFmtId="165" fontId="10" fillId="0" borderId="0" xfId="0" applyNumberFormat="1" applyFont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view="pageBreakPreview" zoomScale="60" zoomScaleNormal="70" workbookViewId="0">
      <pane ySplit="6" topLeftCell="A7" activePane="bottomLeft" state="frozen"/>
      <selection pane="bottomLeft" activeCell="E11" sqref="E11"/>
    </sheetView>
  </sheetViews>
  <sheetFormatPr defaultRowHeight="15" x14ac:dyDescent="0.25"/>
  <cols>
    <col min="2" max="2" width="20.42578125" customWidth="1"/>
    <col min="3" max="3" width="22.42578125" customWidth="1"/>
    <col min="4" max="4" width="20.5703125" customWidth="1"/>
    <col min="5" max="5" width="22.5703125" customWidth="1"/>
    <col min="6" max="6" width="22.85546875" customWidth="1"/>
    <col min="7" max="8" width="18.7109375" customWidth="1"/>
    <col min="9" max="9" width="26" customWidth="1"/>
    <col min="10" max="10" width="20.140625" customWidth="1"/>
    <col min="11" max="11" width="20.5703125" customWidth="1"/>
    <col min="12" max="12" width="23.85546875" customWidth="1"/>
    <col min="13" max="13" width="32.140625" customWidth="1"/>
  </cols>
  <sheetData>
    <row r="2" spans="1:13" ht="104.25" customHeight="1" x14ac:dyDescent="0.25">
      <c r="A2" s="28" t="s">
        <v>99</v>
      </c>
      <c r="B2" s="28"/>
      <c r="C2" s="28"/>
      <c r="D2" s="28"/>
      <c r="E2" s="28"/>
      <c r="F2" s="28"/>
      <c r="G2" s="28"/>
      <c r="H2" s="28"/>
      <c r="I2" s="28"/>
    </row>
    <row r="3" spans="1:13" ht="15.75" x14ac:dyDescent="0.25">
      <c r="A3">
        <v>3</v>
      </c>
      <c r="I3" s="7" t="s">
        <v>14</v>
      </c>
    </row>
    <row r="4" spans="1:13" ht="15.75" x14ac:dyDescent="0.25">
      <c r="H4" s="16"/>
      <c r="I4" s="17"/>
    </row>
    <row r="5" spans="1:13" ht="15.75" x14ac:dyDescent="0.25">
      <c r="H5" s="14"/>
      <c r="I5" s="15"/>
    </row>
    <row r="6" spans="1:13" ht="58.5" customHeight="1" x14ac:dyDescent="0.25">
      <c r="A6" s="1" t="s">
        <v>0</v>
      </c>
      <c r="B6" s="1" t="s">
        <v>1</v>
      </c>
      <c r="C6" s="1" t="s">
        <v>11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</row>
    <row r="7" spans="1:13" ht="58.5" customHeight="1" x14ac:dyDescent="0.3">
      <c r="A7" s="29" t="s">
        <v>13</v>
      </c>
      <c r="B7" s="30"/>
      <c r="C7" s="1">
        <f>SUM(C8:C13)</f>
        <v>67</v>
      </c>
      <c r="D7" s="1"/>
      <c r="E7" s="5">
        <f>SUM(E8:E16)</f>
        <v>89218217</v>
      </c>
      <c r="F7" s="5">
        <f>SUM(F8:F16)</f>
        <v>314024270</v>
      </c>
      <c r="G7" s="5">
        <f>SUM(G8:G16)</f>
        <v>185373486</v>
      </c>
      <c r="H7" s="5">
        <f>SUM(H8:H16)</f>
        <v>54657618</v>
      </c>
      <c r="I7" s="5">
        <f>SUM(I8:I16)</f>
        <v>533958355</v>
      </c>
      <c r="J7" s="13"/>
      <c r="K7" s="25"/>
      <c r="L7" s="26"/>
      <c r="M7" s="26"/>
    </row>
    <row r="8" spans="1:13" ht="86.25" customHeight="1" x14ac:dyDescent="0.3">
      <c r="A8" s="2">
        <v>1</v>
      </c>
      <c r="B8" s="2" t="s">
        <v>8</v>
      </c>
      <c r="C8" s="2">
        <v>7</v>
      </c>
      <c r="D8" s="3" t="s">
        <v>12</v>
      </c>
      <c r="E8" s="4">
        <f>1109000+2842135+2556483+2223029</f>
        <v>8730647</v>
      </c>
      <c r="F8" s="4">
        <v>9088494</v>
      </c>
      <c r="G8" s="12">
        <f>4403024+4403011</f>
        <v>8806035</v>
      </c>
      <c r="H8" s="4">
        <v>3257618</v>
      </c>
      <c r="I8" s="4">
        <f>E8+F8+G8-H8</f>
        <v>23367558</v>
      </c>
      <c r="J8" s="11"/>
      <c r="K8" s="26"/>
      <c r="L8" s="11"/>
    </row>
    <row r="9" spans="1:13" ht="86.25" customHeight="1" x14ac:dyDescent="0.3">
      <c r="A9" s="2">
        <v>2</v>
      </c>
      <c r="B9" s="2" t="s">
        <v>9</v>
      </c>
      <c r="C9" s="2">
        <v>11</v>
      </c>
      <c r="D9" s="3" t="s">
        <v>12</v>
      </c>
      <c r="E9" s="4">
        <v>1632000</v>
      </c>
      <c r="F9" s="4">
        <v>9086030</v>
      </c>
      <c r="G9" s="4"/>
      <c r="H9" s="4"/>
      <c r="I9" s="4">
        <f>E9+F9+G9-H9</f>
        <v>10718030</v>
      </c>
      <c r="J9" s="11"/>
      <c r="K9" s="26"/>
      <c r="L9" s="26"/>
      <c r="M9" s="26"/>
    </row>
    <row r="10" spans="1:13" ht="86.25" customHeight="1" x14ac:dyDescent="0.3">
      <c r="A10" s="19">
        <v>3</v>
      </c>
      <c r="B10" s="19" t="s">
        <v>10</v>
      </c>
      <c r="C10" s="19">
        <v>8</v>
      </c>
      <c r="D10" s="18" t="s">
        <v>12</v>
      </c>
      <c r="E10" s="20">
        <f>1156000+68000+306000</f>
        <v>1530000</v>
      </c>
      <c r="F10" s="20">
        <f>3265335+390000+97240+97240</f>
        <v>3849815</v>
      </c>
      <c r="G10" s="20">
        <v>5450000</v>
      </c>
      <c r="H10" s="20"/>
      <c r="I10" s="20">
        <f t="shared" ref="I10" si="0">E10+F10+G10-H10</f>
        <v>10829815</v>
      </c>
      <c r="J10" s="11"/>
      <c r="K10" s="11"/>
      <c r="L10" s="11"/>
      <c r="M10" s="26"/>
    </row>
    <row r="11" spans="1:13" ht="75" x14ac:dyDescent="0.3">
      <c r="A11" s="19">
        <v>4</v>
      </c>
      <c r="B11" s="19" t="s">
        <v>49</v>
      </c>
      <c r="C11" s="19">
        <v>13</v>
      </c>
      <c r="D11" s="23" t="s">
        <v>12</v>
      </c>
      <c r="E11" s="20">
        <v>3196000</v>
      </c>
      <c r="F11" s="20">
        <v>4445233</v>
      </c>
      <c r="G11" s="20">
        <v>700000</v>
      </c>
      <c r="H11" s="20"/>
      <c r="I11" s="20">
        <f t="shared" ref="I11" si="1">E11+F11+G11-H11</f>
        <v>8341233</v>
      </c>
      <c r="K11" s="11"/>
      <c r="M11" s="26"/>
    </row>
    <row r="12" spans="1:13" ht="75" x14ac:dyDescent="0.25">
      <c r="A12" s="19">
        <v>5</v>
      </c>
      <c r="B12" s="19" t="s">
        <v>50</v>
      </c>
      <c r="C12" s="19">
        <f>3+1+1+1+1+1+1</f>
        <v>9</v>
      </c>
      <c r="D12" s="23" t="s">
        <v>12</v>
      </c>
      <c r="E12" s="20">
        <f>680000+11521910+4000663+315205+7792596+7792596+2631566</f>
        <v>34734536</v>
      </c>
      <c r="F12" s="20">
        <f>999208+12153743+1143842+11167757+1143842+11167757+1143842+11799266+43397367</f>
        <v>94116624</v>
      </c>
      <c r="G12" s="20">
        <f>13546593+9464872+13915350+13915350+15256295+4528352</f>
        <v>70626812</v>
      </c>
      <c r="H12" s="20">
        <f>48750000+250000</f>
        <v>49000000</v>
      </c>
      <c r="I12" s="20">
        <f>E12+F12+G12-H12</f>
        <v>150477972</v>
      </c>
      <c r="J12" s="11"/>
    </row>
    <row r="13" spans="1:13" ht="75" x14ac:dyDescent="0.25">
      <c r="A13" s="2">
        <v>6</v>
      </c>
      <c r="B13" s="2" t="s">
        <v>51</v>
      </c>
      <c r="C13" s="2">
        <f>15+1+1+1+1</f>
        <v>19</v>
      </c>
      <c r="D13" s="3" t="s">
        <v>12</v>
      </c>
      <c r="E13" s="4">
        <f>2108000+3414655+3983764+3414655+1964785</f>
        <v>14885859</v>
      </c>
      <c r="F13" s="4">
        <f>11438315+8594955+10490661+11508477+4339000+9383737</f>
        <v>55755145</v>
      </c>
      <c r="G13" s="4">
        <f>6088000+14362925+9105746+7588122+3496184</f>
        <v>40640977</v>
      </c>
      <c r="H13" s="4"/>
      <c r="I13" s="4">
        <f t="shared" ref="I13" si="2">E13+F13+G13-H13</f>
        <v>111281981</v>
      </c>
      <c r="M13" s="11"/>
    </row>
    <row r="14" spans="1:13" ht="75" x14ac:dyDescent="0.25">
      <c r="A14" s="2">
        <v>7</v>
      </c>
      <c r="B14" s="2" t="s">
        <v>75</v>
      </c>
      <c r="C14" s="2">
        <f>14+1+1</f>
        <v>16</v>
      </c>
      <c r="D14" s="3" t="s">
        <v>12</v>
      </c>
      <c r="E14" s="4">
        <f>1224000+1888191+8052000+1888000</f>
        <v>13052191</v>
      </c>
      <c r="F14" s="4">
        <f>15227041+3663221+12987050+3723220</f>
        <v>35600532</v>
      </c>
      <c r="G14" s="4">
        <f>1080000+5289473+17253600+5289000</f>
        <v>28912073</v>
      </c>
      <c r="H14" s="4"/>
      <c r="I14" s="4">
        <f t="shared" ref="I14" si="3">E14+F14+G14-H14</f>
        <v>77564796</v>
      </c>
    </row>
    <row r="15" spans="1:13" ht="75" x14ac:dyDescent="0.25">
      <c r="A15" s="2">
        <v>8</v>
      </c>
      <c r="B15" s="2" t="s">
        <v>76</v>
      </c>
      <c r="C15" s="2">
        <v>5</v>
      </c>
      <c r="D15" s="3" t="s">
        <v>12</v>
      </c>
      <c r="E15" s="4">
        <v>374000</v>
      </c>
      <c r="F15" s="4">
        <f>5356757+29907256</f>
        <v>35264013</v>
      </c>
      <c r="G15" s="4">
        <v>500000</v>
      </c>
      <c r="H15" s="4"/>
      <c r="I15" s="4">
        <f t="shared" ref="I15" si="4">E15+F15+G15-H15</f>
        <v>36138013</v>
      </c>
      <c r="M15" s="27"/>
    </row>
    <row r="16" spans="1:13" ht="75" x14ac:dyDescent="0.25">
      <c r="A16" s="2">
        <v>9</v>
      </c>
      <c r="B16" s="2" t="s">
        <v>77</v>
      </c>
      <c r="C16" s="2">
        <f>9+2+1+3</f>
        <v>15</v>
      </c>
      <c r="D16" s="3" t="s">
        <v>12</v>
      </c>
      <c r="E16" s="4">
        <f>2244000+680000+680000+3414186+3429027+635771</f>
        <v>11082984</v>
      </c>
      <c r="F16" s="4">
        <f>9975672+1040000+11385131+26308737+3192047+2895246+8829551+3192000</f>
        <v>66818384</v>
      </c>
      <c r="G16" s="4">
        <f>12219672+3567186+13170004+780727</f>
        <v>29737589</v>
      </c>
      <c r="H16" s="4">
        <v>2400000</v>
      </c>
      <c r="I16" s="4">
        <f>E16+F16+G16-H16</f>
        <v>105238957</v>
      </c>
      <c r="M16" s="11"/>
    </row>
    <row r="32" spans="5:8" ht="18.75" x14ac:dyDescent="0.3">
      <c r="E32" s="21"/>
      <c r="F32" s="21"/>
      <c r="G32" s="21"/>
      <c r="H32" s="22"/>
    </row>
    <row r="33" spans="8:8" ht="18.75" x14ac:dyDescent="0.3">
      <c r="H33" s="22"/>
    </row>
  </sheetData>
  <mergeCells count="2">
    <mergeCell ref="A2:I2"/>
    <mergeCell ref="A7:B7"/>
  </mergeCells>
  <pageMargins left="0.11811023622047245" right="0.11811023622047245" top="0.15748031496062992" bottom="0.19685039370078741" header="0.11811023622047245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8"/>
  <sheetViews>
    <sheetView tabSelected="1" view="pageBreakPreview" zoomScale="60" zoomScaleNormal="70" workbookViewId="0">
      <selection activeCell="I31" sqref="I31"/>
    </sheetView>
  </sheetViews>
  <sheetFormatPr defaultRowHeight="15" x14ac:dyDescent="0.25"/>
  <cols>
    <col min="1" max="1" width="6.42578125" customWidth="1"/>
    <col min="2" max="3" width="22.28515625" customWidth="1"/>
    <col min="4" max="4" width="20.85546875" customWidth="1"/>
    <col min="5" max="5" width="21.5703125" customWidth="1"/>
    <col min="6" max="6" width="20.28515625" customWidth="1"/>
    <col min="7" max="7" width="18.7109375" customWidth="1"/>
    <col min="8" max="9" width="23.5703125" customWidth="1"/>
    <col min="10" max="10" width="20.7109375" customWidth="1"/>
    <col min="11" max="11" width="21.7109375" customWidth="1"/>
  </cols>
  <sheetData>
    <row r="3" spans="1:11" ht="20.25" customHeight="1" x14ac:dyDescent="0.3">
      <c r="A3" s="38" t="s">
        <v>98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1" ht="15.75" x14ac:dyDescent="0.25">
      <c r="K5" s="7" t="s">
        <v>14</v>
      </c>
    </row>
    <row r="6" spans="1:11" ht="18.75" customHeight="1" x14ac:dyDescent="0.25">
      <c r="A6" s="35" t="s">
        <v>0</v>
      </c>
      <c r="B6" s="35" t="s">
        <v>15</v>
      </c>
      <c r="C6" s="35" t="s">
        <v>16</v>
      </c>
      <c r="D6" s="35" t="s">
        <v>17</v>
      </c>
      <c r="E6" s="35" t="s">
        <v>18</v>
      </c>
      <c r="F6" s="35" t="s">
        <v>19</v>
      </c>
      <c r="G6" s="35" t="s">
        <v>20</v>
      </c>
      <c r="H6" s="29" t="s">
        <v>21</v>
      </c>
      <c r="I6" s="30"/>
      <c r="J6" s="35" t="s">
        <v>22</v>
      </c>
      <c r="K6" s="35" t="s">
        <v>23</v>
      </c>
    </row>
    <row r="7" spans="1:11" ht="56.25" x14ac:dyDescent="0.25">
      <c r="A7" s="37"/>
      <c r="B7" s="37"/>
      <c r="C7" s="37"/>
      <c r="D7" s="37"/>
      <c r="E7" s="37"/>
      <c r="F7" s="37"/>
      <c r="G7" s="37"/>
      <c r="H7" s="6" t="s">
        <v>24</v>
      </c>
      <c r="I7" s="1" t="s">
        <v>25</v>
      </c>
      <c r="J7" s="37"/>
      <c r="K7" s="37"/>
    </row>
    <row r="8" spans="1:11" ht="18.75" customHeight="1" x14ac:dyDescent="0.25">
      <c r="A8" s="31" t="s">
        <v>26</v>
      </c>
      <c r="B8" s="31"/>
      <c r="C8" s="31"/>
      <c r="D8" s="31"/>
      <c r="E8" s="31"/>
      <c r="F8" s="31"/>
      <c r="G8" s="8">
        <f>+G9+G19</f>
        <v>59994839</v>
      </c>
      <c r="H8" s="8">
        <f>+H9+H19</f>
        <v>0</v>
      </c>
      <c r="I8" s="8">
        <f>+I9+I19</f>
        <v>115616286</v>
      </c>
      <c r="J8" s="8">
        <f>+J9+J19</f>
        <v>23452916</v>
      </c>
      <c r="K8" s="8">
        <f>+K9+K19</f>
        <v>199064041</v>
      </c>
    </row>
    <row r="9" spans="1:11" ht="18.75" customHeight="1" x14ac:dyDescent="0.25">
      <c r="A9" s="31" t="s">
        <v>13</v>
      </c>
      <c r="B9" s="31"/>
      <c r="C9" s="31"/>
      <c r="D9" s="31"/>
      <c r="E9" s="31"/>
      <c r="F9" s="31"/>
      <c r="G9" s="8">
        <f>SUM(G10:G18)</f>
        <v>24642925</v>
      </c>
      <c r="H9" s="8">
        <f>SUM(H10:H11)</f>
        <v>0</v>
      </c>
      <c r="I9" s="8">
        <f>SUM(I10:I18)</f>
        <v>17048253</v>
      </c>
      <c r="J9" s="8">
        <f>SUM(J10:J18)</f>
        <v>4196655</v>
      </c>
      <c r="K9" s="8">
        <f>SUM(K10:K18)</f>
        <v>45887833</v>
      </c>
    </row>
    <row r="10" spans="1:11" ht="56.25" x14ac:dyDescent="0.25">
      <c r="A10" s="35">
        <v>1</v>
      </c>
      <c r="B10" s="32" t="s">
        <v>27</v>
      </c>
      <c r="C10" s="32" t="s">
        <v>28</v>
      </c>
      <c r="D10" s="3" t="s">
        <v>39</v>
      </c>
      <c r="E10" s="3" t="s">
        <v>29</v>
      </c>
      <c r="F10" s="3">
        <v>4</v>
      </c>
      <c r="G10" s="9">
        <v>2975000</v>
      </c>
      <c r="H10" s="10"/>
      <c r="I10" s="10">
        <v>534403</v>
      </c>
      <c r="J10" s="9">
        <v>136000</v>
      </c>
      <c r="K10" s="9">
        <f>G10+H10+J10+I10</f>
        <v>3645403</v>
      </c>
    </row>
    <row r="11" spans="1:11" ht="56.25" x14ac:dyDescent="0.25">
      <c r="A11" s="36"/>
      <c r="B11" s="33"/>
      <c r="C11" s="33"/>
      <c r="D11" s="3" t="s">
        <v>40</v>
      </c>
      <c r="E11" s="3" t="s">
        <v>32</v>
      </c>
      <c r="F11" s="3">
        <v>5</v>
      </c>
      <c r="G11" s="9">
        <v>2475000</v>
      </c>
      <c r="H11" s="10"/>
      <c r="I11" s="10">
        <f>1012130+203690</f>
        <v>1215820</v>
      </c>
      <c r="J11" s="9">
        <v>170000</v>
      </c>
      <c r="K11" s="9">
        <f t="shared" ref="K11:K53" si="0">G11+H11+J11+I11</f>
        <v>3860820</v>
      </c>
    </row>
    <row r="12" spans="1:11" ht="56.25" x14ac:dyDescent="0.25">
      <c r="A12" s="36"/>
      <c r="B12" s="33"/>
      <c r="C12" s="33"/>
      <c r="D12" s="3" t="s">
        <v>52</v>
      </c>
      <c r="E12" s="3" t="s">
        <v>53</v>
      </c>
      <c r="F12" s="3">
        <v>3</v>
      </c>
      <c r="G12" s="9">
        <v>700000</v>
      </c>
      <c r="H12" s="10"/>
      <c r="I12" s="10"/>
      <c r="J12" s="9">
        <v>102000</v>
      </c>
      <c r="K12" s="9">
        <f t="shared" si="0"/>
        <v>802000</v>
      </c>
    </row>
    <row r="13" spans="1:11" ht="56.25" x14ac:dyDescent="0.25">
      <c r="A13" s="36"/>
      <c r="B13" s="33"/>
      <c r="C13" s="33"/>
      <c r="D13" s="3" t="s">
        <v>54</v>
      </c>
      <c r="E13" s="3" t="s">
        <v>55</v>
      </c>
      <c r="F13" s="3">
        <v>4</v>
      </c>
      <c r="G13" s="9">
        <v>2550000</v>
      </c>
      <c r="H13" s="10"/>
      <c r="I13" s="10">
        <f>701653+723229</f>
        <v>1424882</v>
      </c>
      <c r="J13" s="9">
        <v>136000</v>
      </c>
      <c r="K13" s="9">
        <f t="shared" si="0"/>
        <v>4110882</v>
      </c>
    </row>
    <row r="14" spans="1:11" ht="56.25" x14ac:dyDescent="0.25">
      <c r="A14" s="36"/>
      <c r="B14" s="33"/>
      <c r="C14" s="33"/>
      <c r="D14" s="3" t="s">
        <v>68</v>
      </c>
      <c r="E14" s="3" t="s">
        <v>69</v>
      </c>
      <c r="F14" s="3">
        <v>5</v>
      </c>
      <c r="G14" s="9">
        <v>14362925</v>
      </c>
      <c r="H14" s="10"/>
      <c r="I14" s="10">
        <v>8594995</v>
      </c>
      <c r="J14" s="9">
        <v>3414655</v>
      </c>
      <c r="K14" s="9">
        <f>G14+H14+J14+I14</f>
        <v>26372575</v>
      </c>
    </row>
    <row r="15" spans="1:11" ht="56.25" x14ac:dyDescent="0.25">
      <c r="A15" s="36"/>
      <c r="B15" s="33"/>
      <c r="C15" s="33"/>
      <c r="D15" s="3" t="s">
        <v>79</v>
      </c>
      <c r="E15" s="3" t="s">
        <v>78</v>
      </c>
      <c r="F15" s="3">
        <v>3</v>
      </c>
      <c r="G15" s="9">
        <v>1080000</v>
      </c>
      <c r="H15" s="10"/>
      <c r="I15" s="10">
        <v>505698</v>
      </c>
      <c r="J15" s="9">
        <v>102000</v>
      </c>
      <c r="K15" s="9">
        <f>G15+H15+J15+I15</f>
        <v>1687698</v>
      </c>
    </row>
    <row r="16" spans="1:11" ht="56.25" x14ac:dyDescent="0.25">
      <c r="A16" s="36"/>
      <c r="B16" s="33"/>
      <c r="C16" s="33"/>
      <c r="D16" s="3" t="s">
        <v>80</v>
      </c>
      <c r="E16" s="3" t="s">
        <v>35</v>
      </c>
      <c r="F16" s="3">
        <v>1</v>
      </c>
      <c r="G16" s="9"/>
      <c r="H16" s="10"/>
      <c r="I16" s="10">
        <v>1915042</v>
      </c>
      <c r="J16" s="9">
        <v>34000</v>
      </c>
      <c r="K16" s="9">
        <f>G16+H16+J16+I16</f>
        <v>1949042</v>
      </c>
    </row>
    <row r="17" spans="1:11" ht="56.25" x14ac:dyDescent="0.25">
      <c r="A17" s="36"/>
      <c r="B17" s="33"/>
      <c r="C17" s="33"/>
      <c r="D17" s="3" t="s">
        <v>81</v>
      </c>
      <c r="E17" s="3" t="s">
        <v>35</v>
      </c>
      <c r="F17" s="3">
        <v>2</v>
      </c>
      <c r="G17" s="9">
        <v>500000</v>
      </c>
      <c r="H17" s="10"/>
      <c r="I17" s="10">
        <f>1029923+1071157</f>
        <v>2101080</v>
      </c>
      <c r="J17" s="9">
        <v>68000</v>
      </c>
      <c r="K17" s="9">
        <f>G17+H17+J17+I17</f>
        <v>2669080</v>
      </c>
    </row>
    <row r="18" spans="1:11" ht="56.25" x14ac:dyDescent="0.25">
      <c r="A18" s="37"/>
      <c r="B18" s="34"/>
      <c r="C18" s="34"/>
      <c r="D18" s="3" t="s">
        <v>82</v>
      </c>
      <c r="E18" s="3" t="s">
        <v>32</v>
      </c>
      <c r="F18" s="3">
        <v>1</v>
      </c>
      <c r="G18" s="9"/>
      <c r="H18" s="10"/>
      <c r="I18" s="10">
        <v>756333</v>
      </c>
      <c r="J18" s="9">
        <v>34000</v>
      </c>
      <c r="K18" s="9">
        <f>G18+H18+J18+I18</f>
        <v>790333</v>
      </c>
    </row>
    <row r="19" spans="1:11" ht="34.5" customHeight="1" x14ac:dyDescent="0.25">
      <c r="A19" s="31" t="s">
        <v>13</v>
      </c>
      <c r="B19" s="31"/>
      <c r="C19" s="31"/>
      <c r="D19" s="31"/>
      <c r="E19" s="31"/>
      <c r="F19" s="31"/>
      <c r="G19" s="8">
        <f>SUM(G20:G57)</f>
        <v>35351914</v>
      </c>
      <c r="H19" s="8">
        <f>SUM(H20:H48)</f>
        <v>0</v>
      </c>
      <c r="I19" s="8">
        <f>SUM(I20:I53)</f>
        <v>98568033</v>
      </c>
      <c r="J19" s="8">
        <f>SUM(J20:J57)</f>
        <v>19256261</v>
      </c>
      <c r="K19" s="8">
        <f>SUM(K20:K57)</f>
        <v>153176208</v>
      </c>
    </row>
    <row r="20" spans="1:11" ht="34.5" customHeight="1" x14ac:dyDescent="0.25">
      <c r="A20" s="35">
        <v>2</v>
      </c>
      <c r="B20" s="32" t="s">
        <v>37</v>
      </c>
      <c r="C20" s="32" t="s">
        <v>38</v>
      </c>
      <c r="D20" s="3" t="s">
        <v>41</v>
      </c>
      <c r="E20" s="3" t="s">
        <v>33</v>
      </c>
      <c r="F20" s="3">
        <v>3</v>
      </c>
      <c r="G20" s="9"/>
      <c r="H20" s="9"/>
      <c r="I20" s="9">
        <f>693406+743326</f>
        <v>1436732</v>
      </c>
      <c r="J20" s="9">
        <v>102000</v>
      </c>
      <c r="K20" s="9">
        <f t="shared" si="0"/>
        <v>1538732</v>
      </c>
    </row>
    <row r="21" spans="1:11" ht="34.5" customHeight="1" x14ac:dyDescent="0.25">
      <c r="A21" s="36"/>
      <c r="B21" s="33"/>
      <c r="C21" s="33"/>
      <c r="D21" s="3" t="s">
        <v>42</v>
      </c>
      <c r="E21" s="3" t="s">
        <v>35</v>
      </c>
      <c r="F21" s="3">
        <v>3</v>
      </c>
      <c r="G21" s="9"/>
      <c r="H21" s="9"/>
      <c r="I21" s="9">
        <f>675751+822830</f>
        <v>1498581</v>
      </c>
      <c r="J21" s="9">
        <v>102000</v>
      </c>
      <c r="K21" s="9">
        <f t="shared" si="0"/>
        <v>1600581</v>
      </c>
    </row>
    <row r="22" spans="1:11" ht="34.5" customHeight="1" x14ac:dyDescent="0.25">
      <c r="A22" s="36"/>
      <c r="B22" s="33"/>
      <c r="C22" s="33"/>
      <c r="D22" s="3" t="s">
        <v>42</v>
      </c>
      <c r="E22" s="3" t="s">
        <v>32</v>
      </c>
      <c r="F22" s="3">
        <v>3</v>
      </c>
      <c r="G22" s="9"/>
      <c r="H22" s="9"/>
      <c r="I22" s="9">
        <f>729138+663422</f>
        <v>1392560</v>
      </c>
      <c r="J22" s="9">
        <v>102000</v>
      </c>
      <c r="K22" s="9">
        <f t="shared" si="0"/>
        <v>1494560</v>
      </c>
    </row>
    <row r="23" spans="1:11" ht="34.5" customHeight="1" x14ac:dyDescent="0.25">
      <c r="A23" s="36"/>
      <c r="B23" s="33"/>
      <c r="C23" s="33"/>
      <c r="D23" s="3" t="s">
        <v>43</v>
      </c>
      <c r="E23" s="3" t="s">
        <v>44</v>
      </c>
      <c r="F23" s="3">
        <v>2</v>
      </c>
      <c r="G23" s="9"/>
      <c r="H23" s="9"/>
      <c r="I23" s="9"/>
      <c r="J23" s="9">
        <v>68000</v>
      </c>
      <c r="K23" s="9">
        <f t="shared" si="0"/>
        <v>68000</v>
      </c>
    </row>
    <row r="24" spans="1:11" ht="34.5" customHeight="1" x14ac:dyDescent="0.25">
      <c r="A24" s="36"/>
      <c r="B24" s="33"/>
      <c r="C24" s="33"/>
      <c r="D24" s="3" t="s">
        <v>45</v>
      </c>
      <c r="E24" s="3" t="s">
        <v>32</v>
      </c>
      <c r="F24" s="3">
        <v>10</v>
      </c>
      <c r="G24" s="8"/>
      <c r="H24" s="8"/>
      <c r="I24" s="9">
        <f>929830+744112</f>
        <v>1673942</v>
      </c>
      <c r="J24" s="9">
        <v>340000</v>
      </c>
      <c r="K24" s="9">
        <f t="shared" si="0"/>
        <v>2013942</v>
      </c>
    </row>
    <row r="25" spans="1:11" ht="34.5" customHeight="1" x14ac:dyDescent="0.25">
      <c r="A25" s="36"/>
      <c r="B25" s="33"/>
      <c r="C25" s="33"/>
      <c r="D25" s="3" t="s">
        <v>56</v>
      </c>
      <c r="E25" s="3" t="s">
        <v>57</v>
      </c>
      <c r="F25" s="3">
        <v>5</v>
      </c>
      <c r="G25" s="8"/>
      <c r="H25" s="8"/>
      <c r="I25" s="9"/>
      <c r="J25" s="9">
        <v>170000</v>
      </c>
      <c r="K25" s="9">
        <f t="shared" si="0"/>
        <v>170000</v>
      </c>
    </row>
    <row r="26" spans="1:11" ht="34.5" customHeight="1" x14ac:dyDescent="0.25">
      <c r="A26" s="36"/>
      <c r="B26" s="33"/>
      <c r="C26" s="33"/>
      <c r="D26" s="3" t="s">
        <v>58</v>
      </c>
      <c r="E26" s="3" t="s">
        <v>59</v>
      </c>
      <c r="F26" s="3">
        <v>3</v>
      </c>
      <c r="G26" s="8"/>
      <c r="H26" s="8"/>
      <c r="I26" s="9">
        <f>546608+572973</f>
        <v>1119581</v>
      </c>
      <c r="J26" s="9">
        <v>102000</v>
      </c>
      <c r="K26" s="9">
        <f t="shared" si="0"/>
        <v>1221581</v>
      </c>
    </row>
    <row r="27" spans="1:11" ht="34.5" customHeight="1" x14ac:dyDescent="0.25">
      <c r="A27" s="36"/>
      <c r="B27" s="33"/>
      <c r="C27" s="33"/>
      <c r="D27" s="3" t="s">
        <v>60</v>
      </c>
      <c r="E27" s="3" t="s">
        <v>55</v>
      </c>
      <c r="F27" s="3">
        <v>2</v>
      </c>
      <c r="G27" s="8"/>
      <c r="H27" s="8"/>
      <c r="I27" s="9">
        <f>490204+668305</f>
        <v>1158509</v>
      </c>
      <c r="J27" s="9">
        <v>68000</v>
      </c>
      <c r="K27" s="9">
        <f t="shared" si="0"/>
        <v>1226509</v>
      </c>
    </row>
    <row r="28" spans="1:11" ht="34.5" customHeight="1" x14ac:dyDescent="0.25">
      <c r="A28" s="36"/>
      <c r="B28" s="33"/>
      <c r="C28" s="33"/>
      <c r="D28" s="3" t="s">
        <v>61</v>
      </c>
      <c r="E28" s="3" t="s">
        <v>55</v>
      </c>
      <c r="F28" s="3">
        <v>6</v>
      </c>
      <c r="G28" s="8"/>
      <c r="H28" s="8"/>
      <c r="I28" s="9">
        <v>336000</v>
      </c>
      <c r="J28" s="9">
        <v>204000</v>
      </c>
      <c r="K28" s="9">
        <f t="shared" si="0"/>
        <v>540000</v>
      </c>
    </row>
    <row r="29" spans="1:11" ht="34.5" customHeight="1" x14ac:dyDescent="0.25">
      <c r="A29" s="36"/>
      <c r="B29" s="33"/>
      <c r="C29" s="33"/>
      <c r="D29" s="3" t="s">
        <v>62</v>
      </c>
      <c r="E29" s="3" t="s">
        <v>59</v>
      </c>
      <c r="F29" s="3">
        <v>4</v>
      </c>
      <c r="G29" s="8"/>
      <c r="H29" s="8"/>
      <c r="I29" s="9">
        <v>136000</v>
      </c>
      <c r="J29" s="9">
        <v>282000</v>
      </c>
      <c r="K29" s="9">
        <f t="shared" ref="K29:K30" si="1">G29+H29+J29+I29</f>
        <v>418000</v>
      </c>
    </row>
    <row r="30" spans="1:11" ht="34.5" customHeight="1" x14ac:dyDescent="0.25">
      <c r="A30" s="36"/>
      <c r="B30" s="33"/>
      <c r="C30" s="33"/>
      <c r="D30" s="3" t="s">
        <v>73</v>
      </c>
      <c r="E30" s="3" t="s">
        <v>69</v>
      </c>
      <c r="F30" s="3">
        <v>4</v>
      </c>
      <c r="G30" s="9">
        <v>4528352</v>
      </c>
      <c r="H30" s="8"/>
      <c r="I30" s="9">
        <v>43397367</v>
      </c>
      <c r="J30" s="9">
        <v>2631566</v>
      </c>
      <c r="K30" s="9">
        <f t="shared" si="1"/>
        <v>50557285</v>
      </c>
    </row>
    <row r="31" spans="1:11" ht="51.75" customHeight="1" x14ac:dyDescent="0.25">
      <c r="A31" s="36"/>
      <c r="B31" s="33"/>
      <c r="C31" s="33"/>
      <c r="D31" s="3" t="s">
        <v>74</v>
      </c>
      <c r="E31" s="3" t="s">
        <v>69</v>
      </c>
      <c r="F31" s="3">
        <v>3</v>
      </c>
      <c r="G31" s="9">
        <v>3496184</v>
      </c>
      <c r="H31" s="8"/>
      <c r="I31" s="9">
        <v>9383737</v>
      </c>
      <c r="J31" s="9">
        <v>1964785</v>
      </c>
      <c r="K31" s="9">
        <f t="shared" si="0"/>
        <v>14844706</v>
      </c>
    </row>
    <row r="32" spans="1:11" ht="51.75" customHeight="1" x14ac:dyDescent="0.25">
      <c r="A32" s="36"/>
      <c r="B32" s="33"/>
      <c r="C32" s="33"/>
      <c r="D32" s="3" t="s">
        <v>83</v>
      </c>
      <c r="E32" s="3" t="s">
        <v>33</v>
      </c>
      <c r="F32" s="3">
        <v>2</v>
      </c>
      <c r="G32" s="9"/>
      <c r="H32" s="8"/>
      <c r="I32" s="9">
        <f>1092414+955862</f>
        <v>2048276</v>
      </c>
      <c r="J32" s="9">
        <v>68000</v>
      </c>
      <c r="K32" s="9">
        <f t="shared" si="0"/>
        <v>2116276</v>
      </c>
    </row>
    <row r="33" spans="1:11" ht="51.75" customHeight="1" x14ac:dyDescent="0.25">
      <c r="A33" s="36"/>
      <c r="B33" s="33"/>
      <c r="C33" s="33"/>
      <c r="D33" s="3" t="s">
        <v>84</v>
      </c>
      <c r="E33" s="3" t="s">
        <v>32</v>
      </c>
      <c r="F33" s="3">
        <v>2</v>
      </c>
      <c r="G33" s="9"/>
      <c r="H33" s="8"/>
      <c r="I33" s="9">
        <v>1856720</v>
      </c>
      <c r="J33" s="9">
        <v>68000</v>
      </c>
      <c r="K33" s="9">
        <f t="shared" si="0"/>
        <v>1924720</v>
      </c>
    </row>
    <row r="34" spans="1:11" ht="51.75" customHeight="1" x14ac:dyDescent="0.25">
      <c r="A34" s="36"/>
      <c r="B34" s="33"/>
      <c r="C34" s="33"/>
      <c r="D34" s="3" t="s">
        <v>85</v>
      </c>
      <c r="E34" s="3" t="s">
        <v>86</v>
      </c>
      <c r="F34" s="3">
        <v>2</v>
      </c>
      <c r="G34" s="9"/>
      <c r="H34" s="8"/>
      <c r="I34" s="9">
        <f>245000+338000</f>
        <v>583000</v>
      </c>
      <c r="J34" s="9">
        <v>68000</v>
      </c>
      <c r="K34" s="9">
        <f t="shared" si="0"/>
        <v>651000</v>
      </c>
    </row>
    <row r="35" spans="1:11" ht="51.75" customHeight="1" x14ac:dyDescent="0.25">
      <c r="A35" s="36"/>
      <c r="B35" s="33"/>
      <c r="C35" s="33"/>
      <c r="D35" s="3" t="s">
        <v>87</v>
      </c>
      <c r="E35" s="3" t="s">
        <v>55</v>
      </c>
      <c r="F35" s="3">
        <v>1</v>
      </c>
      <c r="G35" s="9"/>
      <c r="H35" s="8"/>
      <c r="I35" s="9">
        <f>841947+850682</f>
        <v>1692629</v>
      </c>
      <c r="J35" s="9">
        <v>34000</v>
      </c>
      <c r="K35" s="9">
        <f t="shared" si="0"/>
        <v>1726629</v>
      </c>
    </row>
    <row r="36" spans="1:11" ht="51.75" customHeight="1" x14ac:dyDescent="0.25">
      <c r="A36" s="36"/>
      <c r="B36" s="33"/>
      <c r="C36" s="33"/>
      <c r="D36" s="3" t="s">
        <v>88</v>
      </c>
      <c r="E36" s="3" t="s">
        <v>33</v>
      </c>
      <c r="F36" s="3">
        <v>2</v>
      </c>
      <c r="G36" s="9"/>
      <c r="H36" s="8"/>
      <c r="I36" s="9">
        <f>1234861+715927</f>
        <v>1950788</v>
      </c>
      <c r="J36" s="9">
        <v>68000</v>
      </c>
      <c r="K36" s="9">
        <f t="shared" si="0"/>
        <v>2018788</v>
      </c>
    </row>
    <row r="37" spans="1:11" ht="51.75" customHeight="1" x14ac:dyDescent="0.25">
      <c r="A37" s="36"/>
      <c r="B37" s="33"/>
      <c r="C37" s="33"/>
      <c r="D37" s="3" t="s">
        <v>89</v>
      </c>
      <c r="E37" s="3" t="s">
        <v>35</v>
      </c>
      <c r="F37" s="3">
        <v>4</v>
      </c>
      <c r="G37" s="9"/>
      <c r="H37" s="8"/>
      <c r="I37" s="9">
        <f>1090686+1061039</f>
        <v>2151725</v>
      </c>
      <c r="J37" s="9">
        <v>136000</v>
      </c>
      <c r="K37" s="9">
        <f t="shared" si="0"/>
        <v>2287725</v>
      </c>
    </row>
    <row r="38" spans="1:11" ht="51.75" customHeight="1" x14ac:dyDescent="0.25">
      <c r="A38" s="36"/>
      <c r="B38" s="33"/>
      <c r="C38" s="33"/>
      <c r="D38" s="3" t="s">
        <v>90</v>
      </c>
      <c r="E38" s="3" t="s">
        <v>59</v>
      </c>
      <c r="F38" s="3">
        <v>2</v>
      </c>
      <c r="G38" s="9"/>
      <c r="H38" s="8"/>
      <c r="I38" s="9">
        <f>795000+159256</f>
        <v>954256</v>
      </c>
      <c r="J38" s="9">
        <v>68000</v>
      </c>
      <c r="K38" s="9">
        <f t="shared" si="0"/>
        <v>1022256</v>
      </c>
    </row>
    <row r="39" spans="1:11" ht="51.75" customHeight="1" x14ac:dyDescent="0.25">
      <c r="A39" s="36"/>
      <c r="B39" s="33"/>
      <c r="C39" s="33"/>
      <c r="D39" s="3" t="s">
        <v>91</v>
      </c>
      <c r="E39" s="3" t="s">
        <v>78</v>
      </c>
      <c r="F39" s="3">
        <v>2</v>
      </c>
      <c r="G39" s="9"/>
      <c r="H39" s="8"/>
      <c r="I39" s="9">
        <v>1555826</v>
      </c>
      <c r="J39" s="9">
        <v>68000</v>
      </c>
      <c r="K39" s="9">
        <f t="shared" si="0"/>
        <v>1623826</v>
      </c>
    </row>
    <row r="40" spans="1:11" ht="51.75" customHeight="1" x14ac:dyDescent="0.25">
      <c r="A40" s="37"/>
      <c r="B40" s="34"/>
      <c r="C40" s="34"/>
      <c r="D40" s="3" t="s">
        <v>92</v>
      </c>
      <c r="E40" s="3" t="s">
        <v>86</v>
      </c>
      <c r="F40" s="3">
        <v>2</v>
      </c>
      <c r="G40" s="9"/>
      <c r="H40" s="8"/>
      <c r="I40" s="9">
        <f>245000+623895</f>
        <v>868895</v>
      </c>
      <c r="J40" s="9">
        <v>68000</v>
      </c>
      <c r="K40" s="9">
        <f t="shared" si="0"/>
        <v>936895</v>
      </c>
    </row>
    <row r="41" spans="1:11" ht="37.5" customHeight="1" x14ac:dyDescent="0.25">
      <c r="A41" s="32">
        <v>2</v>
      </c>
      <c r="B41" s="32" t="s">
        <v>31</v>
      </c>
      <c r="C41" s="32" t="s">
        <v>34</v>
      </c>
      <c r="D41" s="3" t="s">
        <v>46</v>
      </c>
      <c r="E41" s="3" t="s">
        <v>33</v>
      </c>
      <c r="F41" s="3">
        <v>6</v>
      </c>
      <c r="G41" s="9"/>
      <c r="H41" s="9"/>
      <c r="I41" s="9">
        <f>765323+764716</f>
        <v>1530039</v>
      </c>
      <c r="J41" s="9">
        <v>204000</v>
      </c>
      <c r="K41" s="9">
        <f t="shared" si="0"/>
        <v>1734039</v>
      </c>
    </row>
    <row r="42" spans="1:11" ht="56.25" x14ac:dyDescent="0.25">
      <c r="A42" s="33"/>
      <c r="B42" s="33"/>
      <c r="C42" s="33"/>
      <c r="D42" s="3" t="s">
        <v>48</v>
      </c>
      <c r="E42" s="3" t="s">
        <v>32</v>
      </c>
      <c r="F42" s="3">
        <v>1</v>
      </c>
      <c r="G42" s="9"/>
      <c r="H42" s="9"/>
      <c r="I42" s="9">
        <v>1073254</v>
      </c>
      <c r="J42" s="9">
        <v>34000</v>
      </c>
      <c r="K42" s="9">
        <f t="shared" si="0"/>
        <v>1107254</v>
      </c>
    </row>
    <row r="43" spans="1:11" ht="56.25" x14ac:dyDescent="0.25">
      <c r="A43" s="33"/>
      <c r="B43" s="33"/>
      <c r="C43" s="33"/>
      <c r="D43" s="3" t="s">
        <v>47</v>
      </c>
      <c r="E43" s="3" t="s">
        <v>30</v>
      </c>
      <c r="F43" s="3">
        <v>2</v>
      </c>
      <c r="G43" s="9"/>
      <c r="H43" s="9"/>
      <c r="I43" s="9">
        <f>390000+547952</f>
        <v>937952</v>
      </c>
      <c r="J43" s="9">
        <v>68000</v>
      </c>
      <c r="K43" s="9">
        <f t="shared" si="0"/>
        <v>1005952</v>
      </c>
    </row>
    <row r="44" spans="1:11" ht="56.25" x14ac:dyDescent="0.25">
      <c r="A44" s="33"/>
      <c r="B44" s="33"/>
      <c r="C44" s="33"/>
      <c r="D44" s="3" t="s">
        <v>64</v>
      </c>
      <c r="E44" s="3" t="s">
        <v>65</v>
      </c>
      <c r="F44" s="3">
        <v>9</v>
      </c>
      <c r="G44" s="9"/>
      <c r="H44" s="9"/>
      <c r="I44" s="9">
        <f>95302+95302</f>
        <v>190604</v>
      </c>
      <c r="J44" s="9">
        <v>306000</v>
      </c>
      <c r="K44" s="9">
        <f t="shared" si="0"/>
        <v>496604</v>
      </c>
    </row>
    <row r="45" spans="1:11" ht="56.25" x14ac:dyDescent="0.25">
      <c r="A45" s="33"/>
      <c r="B45" s="33"/>
      <c r="C45" s="33"/>
      <c r="D45" s="3" t="s">
        <v>66</v>
      </c>
      <c r="E45" s="3" t="s">
        <v>65</v>
      </c>
      <c r="F45" s="3">
        <v>1</v>
      </c>
      <c r="G45" s="9"/>
      <c r="H45" s="9"/>
      <c r="I45" s="9">
        <f>95302+95302</f>
        <v>190604</v>
      </c>
      <c r="J45" s="9">
        <v>34000</v>
      </c>
      <c r="K45" s="9">
        <f t="shared" si="0"/>
        <v>224604</v>
      </c>
    </row>
    <row r="46" spans="1:11" ht="56.25" x14ac:dyDescent="0.25">
      <c r="A46" s="33"/>
      <c r="B46" s="33"/>
      <c r="C46" s="33"/>
      <c r="D46" s="3" t="s">
        <v>67</v>
      </c>
      <c r="E46" s="3" t="s">
        <v>55</v>
      </c>
      <c r="F46" s="3">
        <v>1</v>
      </c>
      <c r="G46" s="9"/>
      <c r="H46" s="9"/>
      <c r="I46" s="9">
        <f>664397+336000</f>
        <v>1000397</v>
      </c>
      <c r="J46" s="9">
        <v>34000</v>
      </c>
      <c r="K46" s="9">
        <f t="shared" si="0"/>
        <v>1034397</v>
      </c>
    </row>
    <row r="47" spans="1:11" ht="56.25" x14ac:dyDescent="0.25">
      <c r="A47" s="33"/>
      <c r="B47" s="33"/>
      <c r="C47" s="33"/>
      <c r="D47" s="3" t="s">
        <v>67</v>
      </c>
      <c r="E47" s="3" t="s">
        <v>72</v>
      </c>
      <c r="F47" s="3">
        <v>1</v>
      </c>
      <c r="G47" s="9">
        <v>315250</v>
      </c>
      <c r="H47" s="9"/>
      <c r="I47" s="9"/>
      <c r="J47" s="9"/>
      <c r="K47" s="9">
        <f t="shared" si="0"/>
        <v>315250</v>
      </c>
    </row>
    <row r="48" spans="1:11" ht="56.25" x14ac:dyDescent="0.25">
      <c r="A48" s="33"/>
      <c r="B48" s="33"/>
      <c r="C48" s="33"/>
      <c r="D48" s="3" t="s">
        <v>70</v>
      </c>
      <c r="E48" s="3" t="s">
        <v>71</v>
      </c>
      <c r="F48" s="3">
        <v>9</v>
      </c>
      <c r="G48" s="9">
        <f>13546593+9464872+4000663</f>
        <v>27012128</v>
      </c>
      <c r="H48" s="9"/>
      <c r="I48" s="9">
        <f>12153743+1143842</f>
        <v>13297585</v>
      </c>
      <c r="J48" s="9">
        <v>11521910</v>
      </c>
      <c r="K48" s="9">
        <f t="shared" si="0"/>
        <v>51831623</v>
      </c>
    </row>
    <row r="49" spans="1:11" ht="56.25" x14ac:dyDescent="0.25">
      <c r="A49" s="33"/>
      <c r="B49" s="33"/>
      <c r="C49" s="33"/>
      <c r="D49" s="3" t="s">
        <v>93</v>
      </c>
      <c r="E49" s="3" t="s">
        <v>30</v>
      </c>
      <c r="F49" s="3">
        <v>1</v>
      </c>
      <c r="G49" s="9"/>
      <c r="H49" s="9"/>
      <c r="I49" s="9">
        <v>507000</v>
      </c>
      <c r="J49" s="9">
        <v>34000</v>
      </c>
      <c r="K49" s="9">
        <f t="shared" si="0"/>
        <v>541000</v>
      </c>
    </row>
    <row r="50" spans="1:11" ht="75" x14ac:dyDescent="0.25">
      <c r="A50" s="33"/>
      <c r="B50" s="33"/>
      <c r="C50" s="33"/>
      <c r="D50" s="3" t="s">
        <v>94</v>
      </c>
      <c r="E50" s="3" t="s">
        <v>95</v>
      </c>
      <c r="F50" s="3">
        <v>2</v>
      </c>
      <c r="G50" s="9"/>
      <c r="H50" s="9"/>
      <c r="I50" s="9"/>
      <c r="J50" s="9">
        <v>68000</v>
      </c>
      <c r="K50" s="9">
        <f t="shared" si="0"/>
        <v>68000</v>
      </c>
    </row>
    <row r="51" spans="1:11" ht="56.25" x14ac:dyDescent="0.25">
      <c r="A51" s="33"/>
      <c r="B51" s="33"/>
      <c r="C51" s="33"/>
      <c r="D51" s="3" t="s">
        <v>96</v>
      </c>
      <c r="E51" s="3" t="s">
        <v>35</v>
      </c>
      <c r="F51" s="3">
        <v>3</v>
      </c>
      <c r="G51" s="9"/>
      <c r="H51" s="9"/>
      <c r="I51" s="9">
        <f>1088164+922873</f>
        <v>2011037</v>
      </c>
      <c r="J51" s="9">
        <v>102000</v>
      </c>
      <c r="K51" s="9">
        <f t="shared" si="0"/>
        <v>2113037</v>
      </c>
    </row>
    <row r="52" spans="1:11" ht="56.25" x14ac:dyDescent="0.25">
      <c r="A52" s="34"/>
      <c r="B52" s="34"/>
      <c r="C52" s="34"/>
      <c r="D52" s="3" t="s">
        <v>97</v>
      </c>
      <c r="E52" s="3" t="s">
        <v>35</v>
      </c>
      <c r="F52" s="3">
        <v>1</v>
      </c>
      <c r="G52" s="9"/>
      <c r="H52" s="9"/>
      <c r="I52" s="9">
        <f>1080394+916283</f>
        <v>1996677</v>
      </c>
      <c r="J52" s="9">
        <v>34000</v>
      </c>
      <c r="K52" s="9">
        <f t="shared" si="0"/>
        <v>2030677</v>
      </c>
    </row>
    <row r="53" spans="1:11" ht="56.25" x14ac:dyDescent="0.25">
      <c r="A53" s="32">
        <v>4</v>
      </c>
      <c r="B53" s="32" t="s">
        <v>36</v>
      </c>
      <c r="C53" s="32" t="s">
        <v>34</v>
      </c>
      <c r="D53" s="3" t="s">
        <v>63</v>
      </c>
      <c r="E53" s="3" t="s">
        <v>30</v>
      </c>
      <c r="F53" s="3">
        <v>1</v>
      </c>
      <c r="G53" s="9"/>
      <c r="H53" s="9"/>
      <c r="I53" s="9">
        <f>355760+282000</f>
        <v>637760</v>
      </c>
      <c r="J53" s="9">
        <v>34000</v>
      </c>
      <c r="K53" s="9">
        <f t="shared" si="0"/>
        <v>671760</v>
      </c>
    </row>
    <row r="54" spans="1:11" ht="18.75" x14ac:dyDescent="0.25">
      <c r="A54" s="33"/>
      <c r="B54" s="33"/>
      <c r="C54" s="33"/>
      <c r="D54" s="3"/>
      <c r="E54" s="3"/>
      <c r="F54" s="3"/>
      <c r="G54" s="9"/>
      <c r="H54" s="9"/>
      <c r="I54" s="9"/>
      <c r="J54" s="9"/>
      <c r="K54" s="9">
        <f t="shared" ref="K54:K56" si="2">G54+H54+J54+I54</f>
        <v>0</v>
      </c>
    </row>
    <row r="55" spans="1:11" ht="18.75" x14ac:dyDescent="0.25">
      <c r="A55" s="33"/>
      <c r="B55" s="33"/>
      <c r="C55" s="33"/>
      <c r="D55" s="3"/>
      <c r="E55" s="3"/>
      <c r="F55" s="3"/>
      <c r="G55" s="9"/>
      <c r="H55" s="9"/>
      <c r="I55" s="9"/>
      <c r="J55" s="9"/>
      <c r="K55" s="9">
        <f t="shared" si="2"/>
        <v>0</v>
      </c>
    </row>
    <row r="56" spans="1:11" ht="18.75" x14ac:dyDescent="0.25">
      <c r="A56" s="33"/>
      <c r="B56" s="33"/>
      <c r="C56" s="33"/>
      <c r="D56" s="3"/>
      <c r="E56" s="3"/>
      <c r="F56" s="3"/>
      <c r="G56" s="9"/>
      <c r="H56" s="9"/>
      <c r="I56" s="9"/>
      <c r="J56" s="9"/>
      <c r="K56" s="9">
        <f t="shared" si="2"/>
        <v>0</v>
      </c>
    </row>
    <row r="57" spans="1:11" ht="18.75" x14ac:dyDescent="0.25">
      <c r="A57" s="34"/>
      <c r="B57" s="34"/>
      <c r="C57" s="34"/>
      <c r="D57" s="3"/>
      <c r="E57" s="3"/>
      <c r="F57" s="3"/>
      <c r="G57" s="9"/>
      <c r="H57" s="9"/>
      <c r="I57" s="9"/>
      <c r="J57" s="9"/>
      <c r="K57" s="9">
        <f>I57+J57</f>
        <v>0</v>
      </c>
    </row>
    <row r="58" spans="1:11" x14ac:dyDescent="0.25">
      <c r="E58" s="24"/>
    </row>
  </sheetData>
  <mergeCells count="26">
    <mergeCell ref="A19:F19"/>
    <mergeCell ref="A53:A57"/>
    <mergeCell ref="B53:B57"/>
    <mergeCell ref="C53:C57"/>
    <mergeCell ref="A20:A40"/>
    <mergeCell ref="B20:B40"/>
    <mergeCell ref="C20:C40"/>
    <mergeCell ref="C41:C52"/>
    <mergeCell ref="B41:B52"/>
    <mergeCell ref="A41:A52"/>
    <mergeCell ref="A3:K3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A9:F9"/>
    <mergeCell ref="A8:F8"/>
    <mergeCell ref="B10:B18"/>
    <mergeCell ref="C10:C18"/>
    <mergeCell ref="A10:A18"/>
  </mergeCells>
  <pageMargins left="3.937007874015748E-2" right="3.937007874015748E-2" top="0.15748031496062992" bottom="0.15748031496062992" header="0.19685039370078741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Хизмат сафари</vt:lpstr>
      <vt:lpstr>мансабдор шахслар хизмат сафари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2024-10-25T10:33:02Z</dcterms:modified>
</cp:coreProperties>
</file>